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Smartlab</author>
  </authors>
  <commentList>
    <comment ref="E9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This value will be the transmission power; it can be programmed in a range as device allows.</t>
        </r>
      </text>
    </comment>
    <comment ref="F9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Distance has theoretically a working range (if it is exceeded, a warning will appear). However, it is possible that it works correctly with more distance than allowed.</t>
        </r>
      </text>
    </comment>
    <comment ref="G9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When a signal travels by air, it suffers losses. They are calculated as:
                                   4·Π·distance[m]·frequency[Hz]
</t>
        </r>
        <r>
          <rPr>
            <b/>
            <sz val="8"/>
            <rFont val="Tahoma"/>
            <family val="2"/>
          </rPr>
          <t>FSL (dB)</t>
        </r>
        <r>
          <rPr>
            <sz val="8"/>
            <rFont val="Tahoma"/>
            <family val="0"/>
          </rPr>
          <t xml:space="preserve"> = 20·log ( --------------------------------------- ) =
                                        c-light velocity[300 km·s]
= 92.44 + 20·log(frequency[GHz]) + 20·log(d[km])
                             [</t>
        </r>
        <r>
          <rPr>
            <b/>
            <sz val="8"/>
            <rFont val="Tahoma"/>
            <family val="2"/>
          </rPr>
          <t>Friis formula</t>
        </r>
        <r>
          <rPr>
            <sz val="8"/>
            <rFont val="Tahoma"/>
            <family val="0"/>
          </rPr>
          <t>]</t>
        </r>
      </text>
    </comment>
    <comment ref="H9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It is the received power level that must be bigger than sensitivity. About this calculation, it supposes LOS (line-of-sight).
Formula:
</t>
        </r>
        <r>
          <rPr>
            <b/>
            <sz val="8"/>
            <rFont val="Tahoma"/>
            <family val="2"/>
          </rPr>
          <t>RP</t>
        </r>
        <r>
          <rPr>
            <sz val="8"/>
            <rFont val="Tahoma"/>
            <family val="0"/>
          </rPr>
          <t xml:space="preserve"> = Transmission power - FSL</t>
        </r>
      </text>
    </comment>
    <comment ref="I9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This column indicates the correct operation or not.</t>
        </r>
      </text>
    </comment>
    <comment ref="E17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This is the central operation frequency of the device.</t>
        </r>
      </text>
    </comment>
    <comment ref="G17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Sensitivity is a device parameter. It indicates the lower signal level that must be received to be detected correctly.</t>
        </r>
      </text>
    </comment>
    <comment ref="K9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It is the typical duration of a battery working with these values.
Formula:
          Typ.Capacity·Efficiency
</t>
        </r>
        <r>
          <rPr>
            <b/>
            <sz val="8"/>
            <rFont val="Tahoma"/>
            <family val="2"/>
          </rPr>
          <t>BL</t>
        </r>
        <r>
          <rPr>
            <sz val="8"/>
            <rFont val="Tahoma"/>
            <family val="0"/>
          </rPr>
          <t xml:space="preserve"> = ------------------------------
           Aver.Consum.·24·365
</t>
        </r>
      </text>
    </comment>
    <comment ref="J9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This is an average value, but its calculation for Motes Mica2 considers processor consumption, and Zigbee platform already includes it.
So, for </t>
        </r>
        <r>
          <rPr>
            <b/>
            <i/>
            <sz val="8"/>
            <rFont val="Tahoma"/>
            <family val="2"/>
          </rPr>
          <t>Motes Mica2</t>
        </r>
        <r>
          <rPr>
            <sz val="8"/>
            <rFont val="Tahoma"/>
            <family val="0"/>
          </rPr>
          <t xml:space="preserve">:
</t>
        </r>
        <r>
          <rPr>
            <b/>
            <sz val="8"/>
            <rFont val="Tahoma"/>
            <family val="2"/>
          </rPr>
          <t>AC</t>
        </r>
        <r>
          <rPr>
            <sz val="8"/>
            <rFont val="Tahoma"/>
            <family val="0"/>
          </rPr>
          <t xml:space="preserve"> = </t>
        </r>
        <r>
          <rPr>
            <i/>
            <sz val="8"/>
            <rFont val="Tahoma"/>
            <family val="2"/>
          </rPr>
          <t>SLEEP</t>
        </r>
        <r>
          <rPr>
            <sz val="8"/>
            <rFont val="Tahoma"/>
            <family val="0"/>
          </rPr>
          <t>[(Typ.Cons. + Proc.Cons.</t>
        </r>
        <r>
          <rPr>
            <i/>
            <sz val="8"/>
            <rFont val="Tahoma"/>
            <family val="2"/>
          </rPr>
          <t>SLEEP</t>
        </r>
        <r>
          <rPr>
            <sz val="8"/>
            <rFont val="Tahoma"/>
            <family val="0"/>
          </rPr>
          <t xml:space="preserve">)·%] + </t>
        </r>
        <r>
          <rPr>
            <i/>
            <sz val="8"/>
            <rFont val="Tahoma"/>
            <family val="2"/>
          </rPr>
          <t>IDLE/RECEIVE</t>
        </r>
        <r>
          <rPr>
            <sz val="8"/>
            <rFont val="Tahoma"/>
            <family val="0"/>
          </rPr>
          <t xml:space="preserve">[TC·%] + </t>
        </r>
        <r>
          <rPr>
            <i/>
            <sz val="8"/>
            <rFont val="Tahoma"/>
            <family val="2"/>
          </rPr>
          <t>TRANSMIT</t>
        </r>
        <r>
          <rPr>
            <sz val="8"/>
            <rFont val="Tahoma"/>
            <family val="0"/>
          </rPr>
          <t>[TC·%] + (%I/R + %T)·Proc.Cons.</t>
        </r>
        <r>
          <rPr>
            <i/>
            <sz val="8"/>
            <rFont val="Tahoma"/>
            <family val="2"/>
          </rPr>
          <t>ACTIVE</t>
        </r>
        <r>
          <rPr>
            <sz val="8"/>
            <rFont val="Tahoma"/>
            <family val="0"/>
          </rPr>
          <t xml:space="preserve">
For </t>
        </r>
        <r>
          <rPr>
            <b/>
            <i/>
            <sz val="8"/>
            <rFont val="Tahoma"/>
            <family val="2"/>
          </rPr>
          <t>X-Bee</t>
        </r>
        <r>
          <rPr>
            <sz val="8"/>
            <rFont val="Tahoma"/>
            <family val="0"/>
          </rPr>
          <t xml:space="preserve"> and </t>
        </r>
        <r>
          <rPr>
            <b/>
            <i/>
            <sz val="8"/>
            <rFont val="Tahoma"/>
            <family val="2"/>
          </rPr>
          <t>X-Bee Pro</t>
        </r>
        <r>
          <rPr>
            <sz val="8"/>
            <rFont val="Tahoma"/>
            <family val="0"/>
          </rPr>
          <t xml:space="preserve">:
</t>
        </r>
        <r>
          <rPr>
            <b/>
            <sz val="8"/>
            <rFont val="Tahoma"/>
            <family val="2"/>
          </rPr>
          <t>AC</t>
        </r>
        <r>
          <rPr>
            <sz val="8"/>
            <rFont val="Tahoma"/>
            <family val="0"/>
          </rPr>
          <t xml:space="preserve"> = </t>
        </r>
        <r>
          <rPr>
            <i/>
            <sz val="8"/>
            <rFont val="Tahoma"/>
            <family val="2"/>
          </rPr>
          <t>SLEEP</t>
        </r>
        <r>
          <rPr>
            <sz val="8"/>
            <rFont val="Tahoma"/>
            <family val="0"/>
          </rPr>
          <t xml:space="preserve">[Typ.Cons.·%] + </t>
        </r>
        <r>
          <rPr>
            <i/>
            <sz val="8"/>
            <rFont val="Tahoma"/>
            <family val="2"/>
          </rPr>
          <t>ILDE/RECEIVE</t>
        </r>
        <r>
          <rPr>
            <sz val="8"/>
            <rFont val="Tahoma"/>
            <family val="0"/>
          </rPr>
          <t xml:space="preserve">[TC·%] + </t>
        </r>
        <r>
          <rPr>
            <i/>
            <sz val="8"/>
            <rFont val="Tahoma"/>
            <family val="2"/>
          </rPr>
          <t>TRANSMIT</t>
        </r>
        <r>
          <rPr>
            <sz val="8"/>
            <rFont val="Tahoma"/>
            <family val="0"/>
          </rPr>
          <t>[TC·%]</t>
        </r>
      </text>
    </comment>
    <comment ref="F12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Under value boxes, a warning message will appear when that value is out of allowed range.</t>
        </r>
      </text>
    </comment>
    <comment ref="E63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As every device, there are losses by fact of Joule effect and others.
They are considered with efficiency parameter.</t>
        </r>
      </text>
    </comment>
    <comment ref="G63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This value is a typical battery.
Rechargeable AA --&gt; 2100 mAh (by default)</t>
        </r>
      </text>
    </comment>
    <comment ref="E41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This is an operation mode in which device consumption is minimum.</t>
        </r>
      </text>
    </comment>
    <comment ref="G41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It is the operation mode
to send messages. It is the most expensive one in terms of battery.</t>
        </r>
      </text>
    </comment>
    <comment ref="F41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This operation mode is to be alert and receive messages or orders. It is the time when device is not transmitting, but it is in active mode.</t>
        </r>
      </text>
    </comment>
    <comment ref="H41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It is the middle value in mA.</t>
        </r>
      </text>
    </comment>
    <comment ref="D73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It is the transmission power.</t>
        </r>
      </text>
    </comment>
    <comment ref="E73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It is the transmission power again, but converted to mW.
Formula:
                          Pw(dB)/10</t>
        </r>
        <r>
          <rPr>
            <b/>
            <sz val="8"/>
            <rFont val="Tahoma"/>
            <family val="2"/>
          </rPr>
          <t xml:space="preserve">
Pw (mW)</t>
        </r>
        <r>
          <rPr>
            <sz val="8"/>
            <rFont val="Tahoma"/>
            <family val="0"/>
          </rPr>
          <t xml:space="preserve"> = </t>
        </r>
        <r>
          <rPr>
            <sz val="11"/>
            <rFont val="Tahoma"/>
            <family val="2"/>
          </rPr>
          <t>10</t>
        </r>
      </text>
    </comment>
    <comment ref="F73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Z is the impedance.
It has been calculated with maximum values, as:
       </t>
        </r>
        <r>
          <rPr>
            <sz val="10"/>
            <rFont val="Tahoma"/>
            <family val="2"/>
          </rPr>
          <t xml:space="preserve">  P
</t>
        </r>
        <r>
          <rPr>
            <b/>
            <sz val="10"/>
            <rFont val="Tahoma"/>
            <family val="2"/>
          </rPr>
          <t>Z</t>
        </r>
        <r>
          <rPr>
            <sz val="10"/>
            <rFont val="Tahoma"/>
            <family val="2"/>
          </rPr>
          <t xml:space="preserve"> = ---</t>
        </r>
        <r>
          <rPr>
            <sz val="8"/>
            <rFont val="Tahoma"/>
            <family val="0"/>
          </rPr>
          <t xml:space="preserve">
          </t>
        </r>
        <r>
          <rPr>
            <sz val="7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       </t>
        </r>
        <r>
          <rPr>
            <sz val="11"/>
            <rFont val="Tahoma"/>
            <family val="2"/>
          </rPr>
          <t xml:space="preserve"> I</t>
        </r>
      </text>
    </comment>
    <comment ref="G73" authorId="0">
      <text>
        <r>
          <rPr>
            <b/>
            <sz val="8"/>
            <rFont val="Tahoma"/>
            <family val="0"/>
          </rPr>
          <t>Smartlab:</t>
        </r>
        <r>
          <rPr>
            <sz val="8"/>
            <rFont val="Tahoma"/>
            <family val="0"/>
          </rPr>
          <t xml:space="preserve">
Consumption is again calculated as:
                       ________
                 \ </t>
        </r>
        <r>
          <rPr>
            <sz val="7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/  P (mW) |
</t>
        </r>
        <r>
          <rPr>
            <b/>
            <sz val="8"/>
            <rFont val="Tahoma"/>
            <family val="2"/>
          </rPr>
          <t>C (mA)</t>
        </r>
        <r>
          <rPr>
            <sz val="8"/>
            <rFont val="Tahoma"/>
            <family val="0"/>
          </rPr>
          <t xml:space="preserve"> = \  /  ----------
                   \/        Z</t>
        </r>
      </text>
    </comment>
  </commentList>
</comments>
</file>

<file path=xl/sharedStrings.xml><?xml version="1.0" encoding="utf-8"?>
<sst xmlns="http://schemas.openxmlformats.org/spreadsheetml/2006/main" count="64" uniqueCount="45">
  <si>
    <t>Motes Mica2</t>
  </si>
  <si>
    <t>X-Bee</t>
  </si>
  <si>
    <t xml:space="preserve"> Max. TX</t>
  </si>
  <si>
    <t>Min. TX</t>
  </si>
  <si>
    <t>Max. TX</t>
  </si>
  <si>
    <t>Transmission power (dBm)</t>
  </si>
  <si>
    <t>Distance (m)</t>
  </si>
  <si>
    <t>Additional info.</t>
  </si>
  <si>
    <t>Free space losses (dB)</t>
  </si>
  <si>
    <t>State</t>
  </si>
  <si>
    <t>Received power (dBm)</t>
  </si>
  <si>
    <t>X-Bee Pro</t>
  </si>
  <si>
    <t>Sensitivity (dBm) =</t>
  </si>
  <si>
    <t>Freq. (MHz) =</t>
  </si>
  <si>
    <t>POWER BALANCE FOR SMARTMOTES PROJECT</t>
  </si>
  <si>
    <t>Consumption (mA)</t>
  </si>
  <si>
    <t>Sleep</t>
  </si>
  <si>
    <t>Idle/receive</t>
  </si>
  <si>
    <t>Transmit</t>
  </si>
  <si>
    <t>Typical time %</t>
  </si>
  <si>
    <t>Power (dBm)</t>
  </si>
  <si>
    <t>Power (mW)</t>
  </si>
  <si>
    <t>Average consumption</t>
  </si>
  <si>
    <t>Z</t>
  </si>
  <si>
    <t>(maximum case)</t>
  </si>
  <si>
    <t>Typical seconds per day</t>
  </si>
  <si>
    <t>System efficiency =</t>
  </si>
  <si>
    <t>Typical battery (mAh)=</t>
  </si>
  <si>
    <t>Battery life (years)</t>
  </si>
  <si>
    <t>SCENARIO</t>
  </si>
  <si>
    <t>CONSUMPTION VALUES</t>
  </si>
  <si>
    <t>Average Consumption (mA)</t>
  </si>
  <si>
    <t>(maximum case in Europe)</t>
  </si>
  <si>
    <t>(maximum case --&gt; for 18 dBm)</t>
  </si>
  <si>
    <r>
      <t>NOTE:</t>
    </r>
    <r>
      <rPr>
        <sz val="10"/>
        <rFont val="Arial"/>
        <family val="2"/>
      </rPr>
      <t xml:space="preserve"> X-Bee Pro transmission power is limited to 10 dBm in Europe (device lower limit). So, it is not allowed to change this value.</t>
    </r>
  </si>
  <si>
    <r>
      <t xml:space="preserve">NOTE: </t>
    </r>
    <r>
      <rPr>
        <sz val="10"/>
        <rFont val="Arial"/>
        <family val="0"/>
      </rPr>
      <t>Only values in black boxes can be changed to get the desired calculations.</t>
    </r>
  </si>
  <si>
    <t>These values are examples for defining an common scenario.</t>
  </si>
  <si>
    <t>Custom case</t>
  </si>
  <si>
    <t>CONSUMPTION CALCULATION FOR CUSTOM CASES</t>
  </si>
  <si>
    <t>MOTES   PLATFORM</t>
  </si>
  <si>
    <t>ZIGBEE   PLATFORM</t>
  </si>
  <si>
    <t>Transmission consumption (mA)</t>
  </si>
  <si>
    <t>Operating consumption (mA)</t>
  </si>
  <si>
    <t>Sleep mode =</t>
  </si>
  <si>
    <t>Active mode =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</si>
</sst>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20"/>
      <name val="Bodoni MT Poster Compressed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2"/>
    </font>
    <font>
      <b/>
      <i/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Alignment="1">
      <alignment horizontal="right"/>
    </xf>
    <xf numFmtId="9" fontId="0" fillId="0" borderId="5" xfId="0" applyNumberFormat="1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9"/>
  <sheetViews>
    <sheetView tabSelected="1" workbookViewId="0" topLeftCell="E6">
      <selection activeCell="K22" sqref="K22"/>
    </sheetView>
  </sheetViews>
  <sheetFormatPr defaultColWidth="11.421875" defaultRowHeight="12.75"/>
  <cols>
    <col min="1" max="1" width="5.421875" style="0" customWidth="1"/>
    <col min="2" max="2" width="5.7109375" style="0" bestFit="1" customWidth="1"/>
    <col min="3" max="3" width="14.7109375" style="0" bestFit="1" customWidth="1"/>
    <col min="4" max="4" width="29.421875" style="2" customWidth="1"/>
    <col min="5" max="5" width="25.28125" style="0" bestFit="1" customWidth="1"/>
    <col min="6" max="6" width="12.140625" style="0" bestFit="1" customWidth="1"/>
    <col min="7" max="7" width="21.421875" style="0" bestFit="1" customWidth="1"/>
    <col min="8" max="8" width="21.8515625" style="0" bestFit="1" customWidth="1"/>
    <col min="9" max="9" width="7.00390625" style="0" bestFit="1" customWidth="1"/>
    <col min="10" max="10" width="26.00390625" style="0" bestFit="1" customWidth="1"/>
    <col min="11" max="11" width="17.57421875" style="0" bestFit="1" customWidth="1"/>
    <col min="12" max="12" width="6.57421875" style="0" customWidth="1"/>
  </cols>
  <sheetData>
    <row r="1" ht="12.75"/>
    <row r="2" ht="12.75">
      <c r="C2" s="25" t="s">
        <v>35</v>
      </c>
    </row>
    <row r="3" ht="12.75"/>
    <row r="4" ht="12.75"/>
    <row r="5" ht="12.75"/>
    <row r="6" spans="3:11" ht="16.5" thickBot="1">
      <c r="C6" s="48" t="s">
        <v>14</v>
      </c>
      <c r="D6" s="48"/>
      <c r="E6" s="48"/>
      <c r="F6" s="48"/>
      <c r="G6" s="48"/>
      <c r="H6" s="48"/>
      <c r="I6" s="48"/>
      <c r="J6" s="48"/>
      <c r="K6" s="48"/>
    </row>
    <row r="7" ht="12.75"/>
    <row r="8" ht="13.5" thickBot="1"/>
    <row r="9" spans="5:11" ht="13.5" thickBot="1">
      <c r="E9" s="26" t="s">
        <v>5</v>
      </c>
      <c r="F9" s="27" t="s">
        <v>6</v>
      </c>
      <c r="G9" s="27" t="s">
        <v>8</v>
      </c>
      <c r="H9" s="27" t="s">
        <v>10</v>
      </c>
      <c r="I9" s="27" t="s">
        <v>9</v>
      </c>
      <c r="J9" s="27" t="s">
        <v>31</v>
      </c>
      <c r="K9" s="28" t="s">
        <v>28</v>
      </c>
    </row>
    <row r="10" ht="12.75"/>
    <row r="11" spans="2:11" ht="15.75">
      <c r="B11" s="50" t="s">
        <v>39</v>
      </c>
      <c r="C11" s="30" t="s">
        <v>0</v>
      </c>
      <c r="D11" s="31" t="s">
        <v>2</v>
      </c>
      <c r="E11" s="6">
        <v>5</v>
      </c>
      <c r="F11" s="39">
        <v>300</v>
      </c>
      <c r="G11" s="32">
        <f>92.44+20*LOG($F$17/1000,10)+20*LOG(F11/1000,10)</f>
        <v>80.98972218191571</v>
      </c>
      <c r="H11" s="32">
        <f>E11-G11</f>
        <v>-75.98972218191571</v>
      </c>
      <c r="I11" s="6" t="str">
        <f>IF(H11&gt;=$H$17,"Right","Wrong")</f>
        <v>Right</v>
      </c>
      <c r="J11" s="32">
        <f>$E$44*($E$48+$F$51)+$F$44*$F$48+$G$44*27+$H$51*($F$44+$G$44)</f>
        <v>0.07359185185185185</v>
      </c>
      <c r="K11" s="34">
        <f>($H$63*$F$63)/(J11*24*365)</f>
        <v>2.9317569707563362</v>
      </c>
    </row>
    <row r="12" spans="2:11" ht="12.75">
      <c r="B12" s="50"/>
      <c r="E12" s="5"/>
      <c r="F12" s="11">
        <f>IF((F11&lt;=300)*OR(F11&gt;=0),"","Out of range")</f>
      </c>
      <c r="G12" s="17"/>
      <c r="H12" s="17"/>
      <c r="I12" s="6"/>
      <c r="J12" s="17"/>
      <c r="K12" s="34"/>
    </row>
    <row r="13" spans="2:11" ht="12.75">
      <c r="B13" s="50"/>
      <c r="D13" s="31" t="s">
        <v>3</v>
      </c>
      <c r="E13" s="6">
        <v>-20</v>
      </c>
      <c r="F13" s="39">
        <v>200</v>
      </c>
      <c r="G13" s="32">
        <f>92.44+20*LOG($F$17/1000,10)+20*LOG(F13/1000,10)</f>
        <v>77.46789700080208</v>
      </c>
      <c r="H13" s="32">
        <f>E13-G13</f>
        <v>-97.46789700080208</v>
      </c>
      <c r="I13" s="6" t="str">
        <f>IF(H13&gt;=$H$17,"Right","Wrong")</f>
        <v>Right</v>
      </c>
      <c r="J13" s="32">
        <f>$E$44*$E$48+$F$44*$F$48+$G$44*1.5183+$F$51*$E$44+$H$51*($F$44+$G$44)</f>
        <v>0.06651360185185184</v>
      </c>
      <c r="K13" s="34">
        <f>($H$63*$F$63)/(J13*24*365)</f>
        <v>3.243748927295949</v>
      </c>
    </row>
    <row r="14" spans="2:11" ht="12.75">
      <c r="B14" s="50"/>
      <c r="E14" s="2"/>
      <c r="F14" s="11">
        <f>IF((F13&lt;=300)*OR(F13&gt;=0),"","Out of range")</f>
      </c>
      <c r="G14" s="17"/>
      <c r="H14" s="17"/>
      <c r="I14" s="6"/>
      <c r="J14" s="17"/>
      <c r="K14" s="34"/>
    </row>
    <row r="15" spans="2:11" ht="12.75">
      <c r="B15" s="50"/>
      <c r="D15" s="31" t="s">
        <v>37</v>
      </c>
      <c r="E15" s="38">
        <v>-15</v>
      </c>
      <c r="F15" s="38">
        <v>300</v>
      </c>
      <c r="G15" s="32">
        <f>92.44+20*LOG($F$17/1000,10)+20*LOG(F15/1000,10)</f>
        <v>80.98972218191571</v>
      </c>
      <c r="H15" s="32">
        <f>E15-G15</f>
        <v>-95.98972218191571</v>
      </c>
      <c r="I15" s="6" t="str">
        <f>IF(H15&gt;=$H$17,"Right","Wrong")</f>
        <v>Right</v>
      </c>
      <c r="J15" s="32">
        <f>$E$44*$E$48+$F$44*$F$48+$G$44*G74+$F$51*$E$44+$H$51*($F$44+$G$44)</f>
        <v>0.06684185185185185</v>
      </c>
      <c r="K15" s="34">
        <f>($H$63*$F$63)/(J15*24*365)</f>
        <v>3.2278193778312683</v>
      </c>
    </row>
    <row r="16" spans="2:10" ht="12.75">
      <c r="B16" s="50"/>
      <c r="D16" s="1"/>
      <c r="E16" s="11">
        <f>IF((E15&gt;=-20)*OR(E15&lt;=5),"","Out of range")</f>
      </c>
      <c r="F16" s="11">
        <f>IF((F15&lt;=300)*OR(F15&gt;=0),"","Out of range")</f>
      </c>
      <c r="G16" s="2"/>
      <c r="H16" s="2"/>
      <c r="I16" s="2"/>
      <c r="J16" s="20"/>
    </row>
    <row r="17" spans="2:9" ht="12.75">
      <c r="B17" s="50"/>
      <c r="D17" s="31" t="s">
        <v>7</v>
      </c>
      <c r="E17" s="35" t="s">
        <v>13</v>
      </c>
      <c r="F17" s="36">
        <v>892</v>
      </c>
      <c r="G17" s="35" t="s">
        <v>12</v>
      </c>
      <c r="H17" s="36">
        <v>-98</v>
      </c>
      <c r="I17" s="2"/>
    </row>
    <row r="18" spans="2:11" ht="12.75">
      <c r="B18" s="51"/>
      <c r="C18" s="3"/>
      <c r="D18" s="4"/>
      <c r="E18" s="4"/>
      <c r="F18" s="4"/>
      <c r="G18" s="4"/>
      <c r="H18" s="4"/>
      <c r="I18" s="4"/>
      <c r="J18" s="21"/>
      <c r="K18" s="3"/>
    </row>
    <row r="19" spans="2:10" ht="12.75" customHeight="1">
      <c r="B19" s="50" t="s">
        <v>40</v>
      </c>
      <c r="E19" s="2"/>
      <c r="F19" s="2"/>
      <c r="G19" s="2"/>
      <c r="H19" s="2"/>
      <c r="I19" s="2"/>
      <c r="J19" s="20"/>
    </row>
    <row r="20" spans="2:11" ht="15.75">
      <c r="B20" s="50"/>
      <c r="C20" s="30" t="s">
        <v>1</v>
      </c>
      <c r="D20" s="31" t="s">
        <v>4</v>
      </c>
      <c r="E20" s="6">
        <v>0</v>
      </c>
      <c r="F20" s="39">
        <v>100</v>
      </c>
      <c r="G20" s="32">
        <f>92.44+20*LOG($F$26/1000,10)+20*LOG(F20/1000,10)</f>
        <v>80.04422483423211</v>
      </c>
      <c r="H20" s="37">
        <f>E20-G20</f>
        <v>-80.04422483423211</v>
      </c>
      <c r="I20" s="6" t="str">
        <f>IF(H20&gt;=$H$26,"Right","Wrong")</f>
        <v>Right</v>
      </c>
      <c r="J20" s="37">
        <f>$E$44*$E$54+$F$44*$F$54+$G$44*45</f>
        <v>0.14659891203703707</v>
      </c>
      <c r="K20" s="34">
        <f>($H$63*$F$63)/(J20*24*365)</f>
        <v>1.4717259607153552</v>
      </c>
    </row>
    <row r="21" spans="2:11" ht="12.75">
      <c r="B21" s="50"/>
      <c r="D21" s="1"/>
      <c r="E21" s="12"/>
      <c r="F21" s="11">
        <f>IF((F20&lt;=100)*OR(F20&gt;=0),"","Out of range")</f>
      </c>
      <c r="G21" s="17"/>
      <c r="H21" s="17"/>
      <c r="I21" s="6"/>
      <c r="J21" s="17"/>
      <c r="K21" s="34"/>
    </row>
    <row r="22" spans="2:11" ht="12.75">
      <c r="B22" s="50"/>
      <c r="D22" s="31" t="s">
        <v>3</v>
      </c>
      <c r="E22" s="6">
        <v>-10</v>
      </c>
      <c r="F22" s="39">
        <v>100</v>
      </c>
      <c r="G22" s="32">
        <f>92.44+20*LOG($F$26/1000,10)+20*LOG(F22/1000,10)</f>
        <v>80.04422483423211</v>
      </c>
      <c r="H22" s="37">
        <f>E22-G22</f>
        <v>-90.04422483423211</v>
      </c>
      <c r="I22" s="6" t="str">
        <f>IF(H22&gt;=$H$26,"Right","Wrong")</f>
        <v>Right</v>
      </c>
      <c r="J22" s="32">
        <f>$E$44*$E$54+$F$44*$F$54+$G$44*14.2302</f>
        <v>0.13805174537037038</v>
      </c>
      <c r="K22" s="34">
        <f>($H$63*$F$63)/(J22*24*365)</f>
        <v>1.56284459916608</v>
      </c>
    </row>
    <row r="23" spans="2:11" ht="12.75">
      <c r="B23" s="50"/>
      <c r="D23" s="1"/>
      <c r="E23" s="2"/>
      <c r="F23" s="11">
        <f>IF((F22&lt;=100)*OR(F22&gt;=0),"","Out of range")</f>
      </c>
      <c r="G23" s="17"/>
      <c r="H23" s="17"/>
      <c r="I23" s="6"/>
      <c r="J23" s="17"/>
      <c r="K23" s="34"/>
    </row>
    <row r="24" spans="2:11" ht="12.75">
      <c r="B24" s="50"/>
      <c r="D24" s="31" t="s">
        <v>37</v>
      </c>
      <c r="E24" s="38">
        <v>-4</v>
      </c>
      <c r="F24" s="39">
        <v>100</v>
      </c>
      <c r="G24" s="32">
        <f>92.44+20*LOG($F$26/1000,10)+20*LOG(F24/1000,10)</f>
        <v>80.04422483423211</v>
      </c>
      <c r="H24" s="37">
        <f>E24-G24</f>
        <v>-84.04422483423211</v>
      </c>
      <c r="I24" s="6" t="str">
        <f>IF(H24&gt;=$H$26,"Right","Wrong")</f>
        <v>Right</v>
      </c>
      <c r="J24" s="32">
        <f>$E$44*$E$54+$F$44*$F$54+$G$44*G75</f>
        <v>0.14198587884303948</v>
      </c>
      <c r="K24" s="34">
        <f>($H$63*$F$63)/(J24*24*365)</f>
        <v>1.519541424933125</v>
      </c>
    </row>
    <row r="25" spans="2:10" ht="12.75">
      <c r="B25" s="50"/>
      <c r="E25" s="11">
        <f>IF((E24&lt;=0)*OR(E24&gt;=-10),"","Out of range")</f>
      </c>
      <c r="F25" s="11">
        <f>IF((F24&lt;=100)*OR(F24&gt;=0),"","Out of range")</f>
      </c>
      <c r="G25" s="2"/>
      <c r="H25" s="2"/>
      <c r="I25" s="2"/>
      <c r="J25" s="20"/>
    </row>
    <row r="26" spans="2:10" ht="12.75">
      <c r="B26" s="50"/>
      <c r="D26" s="31" t="s">
        <v>7</v>
      </c>
      <c r="E26" s="35" t="s">
        <v>13</v>
      </c>
      <c r="F26" s="36">
        <v>2400</v>
      </c>
      <c r="G26" s="6" t="s">
        <v>12</v>
      </c>
      <c r="H26" s="36">
        <v>-92</v>
      </c>
      <c r="I26" s="2"/>
      <c r="J26" s="20"/>
    </row>
    <row r="27" spans="2:11" ht="12.75">
      <c r="B27" s="50"/>
      <c r="C27" s="3"/>
      <c r="D27" s="4"/>
      <c r="E27" s="3"/>
      <c r="F27" s="3"/>
      <c r="G27" s="3"/>
      <c r="H27" s="3"/>
      <c r="I27" s="3"/>
      <c r="J27" s="21"/>
      <c r="K27" s="3"/>
    </row>
    <row r="28" spans="2:10" ht="12.75">
      <c r="B28" s="50"/>
      <c r="J28" s="20"/>
    </row>
    <row r="29" spans="2:11" ht="15.75">
      <c r="B29" s="50"/>
      <c r="C29" s="30" t="s">
        <v>11</v>
      </c>
      <c r="D29" s="31" t="s">
        <v>37</v>
      </c>
      <c r="E29" s="6">
        <v>10</v>
      </c>
      <c r="F29" s="39">
        <v>1500</v>
      </c>
      <c r="G29" s="32">
        <f>92.44+20*LOG($F$31/1000,10)+20*LOG(F29/1000,10)</f>
        <v>103.56605001534574</v>
      </c>
      <c r="H29" s="32">
        <f>E29-G29</f>
        <v>-93.56605001534574</v>
      </c>
      <c r="I29" s="6" t="str">
        <f>IF(H29&gt;=$H$31,"Right","Wrong")</f>
        <v>Right</v>
      </c>
      <c r="J29" s="32">
        <f>$E$44*$E$61+$F$44*$F$61+$G$44*G76</f>
        <v>0.17118494213027832</v>
      </c>
      <c r="K29" s="34">
        <f>($H$63*$F$63)/(J29*24*365)</f>
        <v>1.2603528205964376</v>
      </c>
    </row>
    <row r="30" spans="2:10" ht="12.75">
      <c r="B30" s="50"/>
      <c r="F30" s="11">
        <f>IF((F29&lt;=1500)*OR(F29&gt;=0),"","Out of range")</f>
      </c>
      <c r="J30" s="2"/>
    </row>
    <row r="31" spans="2:10" ht="12.75">
      <c r="B31" s="50"/>
      <c r="D31" s="31" t="s">
        <v>7</v>
      </c>
      <c r="E31" s="35" t="s">
        <v>13</v>
      </c>
      <c r="F31" s="36">
        <v>2400</v>
      </c>
      <c r="G31" s="35" t="s">
        <v>12</v>
      </c>
      <c r="H31" s="36">
        <v>-100</v>
      </c>
      <c r="I31" s="10"/>
      <c r="J31" s="2"/>
    </row>
    <row r="32" ht="12.75">
      <c r="J32" s="2"/>
    </row>
    <row r="33" ht="12.75">
      <c r="D33" s="45" t="s">
        <v>34</v>
      </c>
    </row>
    <row r="34" ht="12.75"/>
    <row r="35" spans="8:11" ht="12.75">
      <c r="H35" s="22"/>
      <c r="I35" s="23"/>
      <c r="J35" s="8"/>
      <c r="K35" s="9"/>
    </row>
    <row r="36" spans="8:11" ht="12.75">
      <c r="H36" s="22"/>
      <c r="I36" s="23"/>
      <c r="J36" s="8"/>
      <c r="K36" s="9"/>
    </row>
    <row r="37" ht="12.75"/>
    <row r="38" spans="3:11" ht="13.5" thickBot="1">
      <c r="C38" s="49" t="s">
        <v>30</v>
      </c>
      <c r="D38" s="49"/>
      <c r="E38" s="49"/>
      <c r="F38" s="49"/>
      <c r="G38" s="49"/>
      <c r="H38" s="49"/>
      <c r="I38" s="47"/>
      <c r="J38" s="47"/>
      <c r="K38" s="47"/>
    </row>
    <row r="39" ht="12.75"/>
    <row r="40" ht="13.5" thickBot="1"/>
    <row r="41" spans="5:11" ht="13.5" thickBot="1">
      <c r="E41" s="26" t="s">
        <v>16</v>
      </c>
      <c r="F41" s="27" t="s">
        <v>17</v>
      </c>
      <c r="G41" s="27" t="s">
        <v>18</v>
      </c>
      <c r="H41" s="28" t="s">
        <v>22</v>
      </c>
      <c r="J41" s="46"/>
      <c r="K41" s="46"/>
    </row>
    <row r="42" spans="5:8" ht="12.75">
      <c r="E42" s="24"/>
      <c r="F42" s="24"/>
      <c r="G42" s="24"/>
      <c r="H42" s="24"/>
    </row>
    <row r="43" ht="12.75">
      <c r="D43" s="14" t="s">
        <v>29</v>
      </c>
    </row>
    <row r="44" spans="4:10" ht="12.75">
      <c r="D44" s="1" t="s">
        <v>19</v>
      </c>
      <c r="E44" s="33">
        <f>E45/(E45+F45+G45)</f>
        <v>0.9970601851851851</v>
      </c>
      <c r="F44" s="33">
        <f>F45/(E45+F45+G45)</f>
        <v>0.002662037037037037</v>
      </c>
      <c r="G44" s="33">
        <f>G45/(E45+F45+G45)</f>
        <v>0.0002777777777777778</v>
      </c>
      <c r="J44" s="16"/>
    </row>
    <row r="45" spans="4:10" ht="12.75">
      <c r="D45" s="1" t="s">
        <v>25</v>
      </c>
      <c r="E45" s="41">
        <f>(24*60*60)-(F45+G45)</f>
        <v>86146</v>
      </c>
      <c r="F45" s="39">
        <v>230</v>
      </c>
      <c r="G45" s="39">
        <v>24</v>
      </c>
      <c r="H45" s="2"/>
      <c r="J45" s="40"/>
    </row>
    <row r="46" spans="3:8" ht="12.75">
      <c r="C46" s="3"/>
      <c r="D46" s="14"/>
      <c r="E46" s="15"/>
      <c r="F46" s="15"/>
      <c r="G46" s="15"/>
      <c r="H46" s="4"/>
    </row>
    <row r="47" spans="4:8" ht="12.75">
      <c r="D47" s="1"/>
      <c r="E47" s="2"/>
      <c r="F47" s="2"/>
      <c r="G47" s="2"/>
      <c r="H47" s="2"/>
    </row>
    <row r="48" spans="3:8" ht="15.75">
      <c r="C48" s="7" t="s">
        <v>0</v>
      </c>
      <c r="D48" s="1" t="s">
        <v>41</v>
      </c>
      <c r="E48" s="6">
        <v>0.001</v>
      </c>
      <c r="F48" s="6">
        <v>10</v>
      </c>
      <c r="G48" s="6">
        <v>27</v>
      </c>
      <c r="H48" s="32">
        <f>$E$44*(E48+F51)+$F$44*F48+$G$44*G48+H51*($F$44+$G$44)</f>
        <v>0.07359185185185185</v>
      </c>
    </row>
    <row r="49" spans="4:8" ht="12.75">
      <c r="D49" s="19" t="s">
        <v>24</v>
      </c>
      <c r="E49" s="2"/>
      <c r="F49" s="2"/>
      <c r="G49" s="2"/>
      <c r="H49" s="17"/>
    </row>
    <row r="50" spans="4:8" ht="12.75">
      <c r="D50" s="19"/>
      <c r="E50" s="2"/>
      <c r="F50" s="2"/>
      <c r="G50" s="2"/>
      <c r="H50" s="17"/>
    </row>
    <row r="51" spans="4:8" ht="12.75">
      <c r="D51" s="1" t="s">
        <v>42</v>
      </c>
      <c r="E51" s="35" t="s">
        <v>43</v>
      </c>
      <c r="F51" s="36">
        <v>0.015</v>
      </c>
      <c r="G51" s="35" t="s">
        <v>44</v>
      </c>
      <c r="H51" s="36">
        <v>8</v>
      </c>
    </row>
    <row r="52" spans="3:8" ht="12.75">
      <c r="C52" s="3"/>
      <c r="D52" s="4"/>
      <c r="E52" s="4"/>
      <c r="F52" s="4"/>
      <c r="G52" s="4"/>
      <c r="H52" s="4"/>
    </row>
    <row r="53" spans="4:8" ht="12.75">
      <c r="D53" s="1"/>
      <c r="E53" s="2"/>
      <c r="F53" s="2"/>
      <c r="G53" s="2"/>
      <c r="H53" s="2"/>
    </row>
    <row r="54" spans="3:8" ht="15.75">
      <c r="C54" s="7" t="s">
        <v>1</v>
      </c>
      <c r="D54" s="1" t="s">
        <v>41</v>
      </c>
      <c r="E54" s="6">
        <v>0.001</v>
      </c>
      <c r="F54" s="6">
        <v>50</v>
      </c>
      <c r="G54" s="6">
        <v>45</v>
      </c>
      <c r="H54" s="32">
        <f>E54*$E$44+F54*$F$44+G54*$G$44</f>
        <v>0.14659891203703707</v>
      </c>
    </row>
    <row r="55" spans="4:8" ht="12.75">
      <c r="D55" s="19" t="s">
        <v>24</v>
      </c>
      <c r="E55" s="2"/>
      <c r="F55" s="2"/>
      <c r="G55" s="2"/>
      <c r="H55" s="17"/>
    </row>
    <row r="56" spans="3:8" ht="12.75">
      <c r="C56" s="3"/>
      <c r="D56" s="4"/>
      <c r="E56" s="4"/>
      <c r="F56" s="4"/>
      <c r="G56" s="4"/>
      <c r="H56" s="4"/>
    </row>
    <row r="57" spans="4:8" ht="12.75">
      <c r="D57" s="1"/>
      <c r="E57" s="2"/>
      <c r="F57" s="2"/>
      <c r="G57" s="2"/>
      <c r="H57" s="2"/>
    </row>
    <row r="58" spans="3:8" ht="15.75">
      <c r="C58" s="7" t="s">
        <v>11</v>
      </c>
      <c r="D58" s="1" t="s">
        <v>41</v>
      </c>
      <c r="E58" s="6">
        <v>0.001</v>
      </c>
      <c r="F58" s="6">
        <v>55</v>
      </c>
      <c r="G58" s="6">
        <v>215</v>
      </c>
      <c r="H58" s="32">
        <f>$E$44*E58+$F$44*F58+$G$44*G58</f>
        <v>0.20713131944444446</v>
      </c>
    </row>
    <row r="59" spans="4:8" ht="12.75">
      <c r="D59" s="19" t="s">
        <v>33</v>
      </c>
      <c r="E59" s="2"/>
      <c r="F59" s="2"/>
      <c r="G59" s="2"/>
      <c r="H59" s="32"/>
    </row>
    <row r="60" spans="4:8" ht="12.75">
      <c r="D60" s="19"/>
      <c r="E60" s="2"/>
      <c r="F60" s="2"/>
      <c r="G60" s="2"/>
      <c r="H60" s="32"/>
    </row>
    <row r="61" spans="4:8" ht="12.75">
      <c r="D61" s="19" t="s">
        <v>32</v>
      </c>
      <c r="E61" s="6">
        <v>0.001</v>
      </c>
      <c r="F61" s="6">
        <v>55</v>
      </c>
      <c r="G61" s="6">
        <v>85.6</v>
      </c>
      <c r="H61" s="32">
        <f>$E$44*E61+$F$44*F61+$G$44*G61</f>
        <v>0.17118687500000002</v>
      </c>
    </row>
    <row r="62" spans="4:8" ht="12.75">
      <c r="D62" s="1"/>
      <c r="E62" s="2"/>
      <c r="F62" s="2"/>
      <c r="G62" s="2"/>
      <c r="H62" s="2"/>
    </row>
    <row r="63" spans="3:8" ht="12.75">
      <c r="C63" s="25" t="s">
        <v>7</v>
      </c>
      <c r="E63" s="42" t="s">
        <v>26</v>
      </c>
      <c r="F63" s="43">
        <v>0.9</v>
      </c>
      <c r="G63" s="35" t="s">
        <v>27</v>
      </c>
      <c r="H63" s="44">
        <v>2100</v>
      </c>
    </row>
    <row r="64" ht="12.75"/>
    <row r="65" ht="12.75">
      <c r="F65" t="s">
        <v>36</v>
      </c>
    </row>
    <row r="66" ht="12.75"/>
    <row r="67" ht="12.75"/>
    <row r="68" ht="12.75"/>
    <row r="69" ht="12.75"/>
    <row r="70" spans="3:7" ht="13.5" thickBot="1">
      <c r="C70" s="49" t="s">
        <v>38</v>
      </c>
      <c r="D70" s="49"/>
      <c r="E70" s="49"/>
      <c r="F70" s="49"/>
      <c r="G70" s="49"/>
    </row>
    <row r="71" ht="12.75"/>
    <row r="72" spans="3:4" ht="16.5" thickBot="1">
      <c r="C72" s="13"/>
      <c r="D72" s="13"/>
    </row>
    <row r="73" spans="4:7" ht="13.5" thickBot="1">
      <c r="D73" s="26" t="s">
        <v>20</v>
      </c>
      <c r="E73" s="27" t="s">
        <v>21</v>
      </c>
      <c r="F73" s="27" t="s">
        <v>23</v>
      </c>
      <c r="G73" s="28" t="s">
        <v>15</v>
      </c>
    </row>
    <row r="74" spans="3:7" ht="15.75">
      <c r="C74" s="29" t="s">
        <v>0</v>
      </c>
      <c r="D74" s="6">
        <f>E15</f>
        <v>-15</v>
      </c>
      <c r="E74" s="32">
        <f>POWER(10,D74/10)</f>
        <v>0.031622776601683784</v>
      </c>
      <c r="F74" s="32">
        <f>((POWER(10,$E$11/10))/1000)/(POWER(($G$48/1000),2))</f>
        <v>4.3378294378167075</v>
      </c>
      <c r="G74" s="32">
        <f>SQRT((E74/1000)/F74)*1000</f>
        <v>2.6999999999999993</v>
      </c>
    </row>
    <row r="75" spans="3:7" ht="15.75">
      <c r="C75" s="29" t="s">
        <v>1</v>
      </c>
      <c r="D75" s="6">
        <f>E24</f>
        <v>-4</v>
      </c>
      <c r="E75" s="32">
        <f>POWER(10,D75/10)</f>
        <v>0.3981071705534972</v>
      </c>
      <c r="F75" s="32">
        <f>((POWER(10,$E$20/10))/1000)/(POWER(($G$54/1000),2))</f>
        <v>0.4938271604938272</v>
      </c>
      <c r="G75" s="32">
        <f>SQRT((E75/1000)/F75)*1000</f>
        <v>28.393080501608694</v>
      </c>
    </row>
    <row r="76" spans="3:7" ht="15.75">
      <c r="C76" s="29" t="s">
        <v>11</v>
      </c>
      <c r="D76" s="6">
        <f>E29</f>
        <v>10</v>
      </c>
      <c r="E76" s="32">
        <f>POWER(10,D76/10)</f>
        <v>10</v>
      </c>
      <c r="F76" s="32">
        <f>((POWER(10,18/10))/1000)/(POWER(($G$58/1000),2))</f>
        <v>1.364969917750554</v>
      </c>
      <c r="G76" s="32">
        <f>SQRT((E76/1000)/F76)*1000</f>
        <v>85.59304166900189</v>
      </c>
    </row>
    <row r="77" spans="4:5" ht="12.75">
      <c r="D77" s="18"/>
      <c r="E77" s="18"/>
    </row>
    <row r="78" spans="4:5" ht="12.75">
      <c r="D78" s="18"/>
      <c r="E78" s="18"/>
    </row>
    <row r="79" ht="12.75">
      <c r="D79" s="18"/>
    </row>
  </sheetData>
  <sheetProtection sheet="1" objects="1" scenarios="1"/>
  <mergeCells count="5">
    <mergeCell ref="C6:K6"/>
    <mergeCell ref="C38:H38"/>
    <mergeCell ref="C70:G70"/>
    <mergeCell ref="B19:B31"/>
    <mergeCell ref="B11:B18"/>
  </mergeCells>
  <conditionalFormatting sqref="H29">
    <cfRule type="cellIs" priority="1" dxfId="0" operator="lessThanOrEqual" stopIfTrue="1">
      <formula>$H$31</formula>
    </cfRule>
    <cfRule type="cellIs" priority="2" dxfId="1" operator="greaterThanOrEqual" stopIfTrue="1">
      <formula>$H$31</formula>
    </cfRule>
  </conditionalFormatting>
  <conditionalFormatting sqref="H11 H13 H15">
    <cfRule type="cellIs" priority="3" dxfId="1" operator="greaterThanOrEqual" stopIfTrue="1">
      <formula>$H$17</formula>
    </cfRule>
    <cfRule type="cellIs" priority="4" dxfId="0" operator="lessThanOrEqual" stopIfTrue="1">
      <formula>$H$17</formula>
    </cfRule>
  </conditionalFormatting>
  <conditionalFormatting sqref="H20 H22 H24">
    <cfRule type="cellIs" priority="5" dxfId="1" operator="greaterThanOrEqual" stopIfTrue="1">
      <formula>$H$26</formula>
    </cfRule>
    <cfRule type="cellIs" priority="6" dxfId="0" operator="lessThan" stopIfTrue="1">
      <formula>$H$26</formula>
    </cfRule>
  </conditionalFormatting>
  <printOptions/>
  <pageMargins left="0.75" right="0.75" top="1" bottom="1" header="0" footer="0"/>
  <pageSetup horizontalDpi="300" verticalDpi="3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Deusto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Smartlab</dc:creator>
  <cp:keywords/>
  <dc:description/>
  <cp:lastModifiedBy>Smartlab</cp:lastModifiedBy>
  <cp:lastPrinted>2007-10-24T08:23:23Z</cp:lastPrinted>
  <dcterms:created xsi:type="dcterms:W3CDTF">2007-10-22T09:04:21Z</dcterms:created>
  <dcterms:modified xsi:type="dcterms:W3CDTF">2007-10-29T16:36:15Z</dcterms:modified>
  <cp:category/>
  <cp:version/>
  <cp:contentType/>
  <cp:contentStatus/>
</cp:coreProperties>
</file>